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sage\Desktop\"/>
    </mc:Choice>
  </mc:AlternateContent>
  <bookViews>
    <workbookView xWindow="120" yWindow="15" windowWidth="19080" windowHeight="8700"/>
  </bookViews>
  <sheets>
    <sheet name="TMA NextGen 2-2-12" sheetId="1" r:id="rId1"/>
  </sheets>
  <externalReferences>
    <externalReference r:id="rId2"/>
  </externalReferences>
  <definedNames>
    <definedName name="IQ_ADDIN" hidden="1">"AUTO"</definedName>
    <definedName name="IQ_CH" hidden="1">110000</definedName>
    <definedName name="IQ_CQ" hidden="1">5000</definedName>
    <definedName name="IQ_CY" hidden="1">10000</definedName>
    <definedName name="IQ_DAILY" hidden="1">500000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NAMES_REVISION_DATE_" hidden="1">40864.5146412037</definedName>
    <definedName name="IQ_NTM" hidden="1">6000</definedName>
    <definedName name="IQ_TODAY" hidden="1">0</definedName>
    <definedName name="IQ_WEEK" hidden="1">50000</definedName>
    <definedName name="IQ_YTD" hidden="1">3000</definedName>
    <definedName name="IQ_YTDMONTH" hidden="1">130000</definedName>
    <definedName name="_xlnm.Print_Area" localSheetId="0">'TMA NextGen 2-2-12'!$A$1:$O$29</definedName>
  </definedNames>
  <calcPr calcId="152511"/>
</workbook>
</file>

<file path=xl/calcChain.xml><?xml version="1.0" encoding="utf-8"?>
<calcChain xmlns="http://schemas.openxmlformats.org/spreadsheetml/2006/main">
  <c r="Q18" i="1" l="1"/>
  <c r="E19" i="1"/>
  <c r="C17" i="1"/>
  <c r="E17" i="1"/>
  <c r="C16" i="1"/>
  <c r="E16" i="1"/>
  <c r="C15" i="1"/>
  <c r="C14" i="1"/>
  <c r="E14" i="1" s="1"/>
  <c r="C13" i="1"/>
  <c r="C12" i="1"/>
  <c r="E12" i="1"/>
  <c r="C11" i="1"/>
  <c r="E11" i="1"/>
  <c r="C9" i="1"/>
  <c r="E9" i="1"/>
  <c r="E8" i="1"/>
  <c r="E10" i="1"/>
  <c r="C7" i="1"/>
  <c r="E7" i="1" s="1"/>
  <c r="F28" i="1"/>
  <c r="D28" i="1"/>
  <c r="E27" i="1"/>
  <c r="E26" i="1"/>
  <c r="N10" i="1" s="1"/>
  <c r="K22" i="1"/>
  <c r="D18" i="1"/>
  <c r="D21" i="1"/>
  <c r="F17" i="1"/>
  <c r="F16" i="1"/>
  <c r="F15" i="1"/>
  <c r="E15" i="1"/>
  <c r="F14" i="1"/>
  <c r="K13" i="1"/>
  <c r="F13" i="1"/>
  <c r="E13" i="1"/>
  <c r="F12" i="1"/>
  <c r="F11" i="1"/>
  <c r="F10" i="1"/>
  <c r="F9" i="1"/>
  <c r="J8" i="1"/>
  <c r="F8" i="1"/>
  <c r="J7" i="1"/>
  <c r="F7" i="1"/>
  <c r="F6" i="1"/>
  <c r="J9" i="1"/>
  <c r="J11" i="1"/>
  <c r="F18" i="1"/>
  <c r="F21" i="1" s="1"/>
  <c r="O6" i="1" s="1"/>
  <c r="O8" i="1" s="1"/>
  <c r="O12" i="1" s="1"/>
  <c r="K24" i="1"/>
  <c r="O7" i="1"/>
  <c r="E6" i="1"/>
  <c r="E18" i="1" s="1"/>
  <c r="J6" i="1"/>
  <c r="C20" i="1"/>
  <c r="J12" i="1"/>
  <c r="J10" i="1"/>
  <c r="J13" i="1" s="1"/>
  <c r="J26" i="1" l="1"/>
  <c r="E24" i="1"/>
  <c r="E21" i="1"/>
  <c r="N6" i="1" s="1"/>
  <c r="E25" i="1"/>
  <c r="C18" i="1"/>
  <c r="C21" i="1" s="1"/>
  <c r="E20" i="1"/>
  <c r="E28" i="1" l="1"/>
  <c r="J19" i="1"/>
  <c r="J22" i="1" s="1"/>
  <c r="J24" i="1" s="1"/>
  <c r="C24" i="1"/>
  <c r="C28" i="1" s="1"/>
  <c r="C25" i="1"/>
  <c r="N7" i="1" l="1"/>
  <c r="N8" i="1" s="1"/>
  <c r="N12" i="1" s="1"/>
  <c r="J27" i="1"/>
</calcChain>
</file>

<file path=xl/sharedStrings.xml><?xml version="1.0" encoding="utf-8"?>
<sst xmlns="http://schemas.openxmlformats.org/spreadsheetml/2006/main" count="104" uniqueCount="86">
  <si>
    <t>Host/Event Name:</t>
  </si>
  <si>
    <t>TMA NextGen</t>
  </si>
  <si>
    <t>Event Date:</t>
  </si>
  <si>
    <t>Guarantee/Minimum:</t>
  </si>
  <si>
    <t>Venue:</t>
  </si>
  <si>
    <t>Event Type:</t>
  </si>
  <si>
    <t>Registrations:</t>
  </si>
  <si>
    <t>Budget</t>
  </si>
  <si>
    <t>Actual</t>
  </si>
  <si>
    <t>Attendees:</t>
  </si>
  <si>
    <t>Attendee Revenue</t>
  </si>
  <si>
    <t>Reg Fee</t>
  </si>
  <si>
    <t>Reg</t>
  </si>
  <si>
    <t>Total</t>
  </si>
  <si>
    <t>Venue Costs</t>
  </si>
  <si>
    <t>Amount</t>
  </si>
  <si>
    <t>Event P&amp;L</t>
  </si>
  <si>
    <t>Early Bird Members</t>
  </si>
  <si>
    <t>Revenue</t>
  </si>
  <si>
    <t>Early Bird Non-Members</t>
  </si>
  <si>
    <t>Room Fee/Other</t>
  </si>
  <si>
    <t>Expenses</t>
  </si>
  <si>
    <t>Early Bird NextGen</t>
  </si>
  <si>
    <t>A/V &amp; Other</t>
  </si>
  <si>
    <t>Gross Profit/(Loss)</t>
  </si>
  <si>
    <t>Early Bird Students</t>
  </si>
  <si>
    <t>Coat Check</t>
  </si>
  <si>
    <t>Regular Members</t>
  </si>
  <si>
    <t>NYS Tax 8.875%</t>
  </si>
  <si>
    <t>TMA Bucks</t>
  </si>
  <si>
    <t>Regular Non-Members</t>
  </si>
  <si>
    <t>Other Tax</t>
  </si>
  <si>
    <t>Sponsorship</t>
  </si>
  <si>
    <t>Regular NextGen</t>
  </si>
  <si>
    <t>Gratuity (Food only)</t>
  </si>
  <si>
    <t>Net Profit/(Loss)</t>
  </si>
  <si>
    <t>Regular Students</t>
  </si>
  <si>
    <t>Subtotal</t>
  </si>
  <si>
    <t>Onsite Members</t>
  </si>
  <si>
    <t>Admin Costs</t>
  </si>
  <si>
    <t>Analytics</t>
  </si>
  <si>
    <t>Onsite Non-Members</t>
  </si>
  <si>
    <t>Receptionist</t>
  </si>
  <si>
    <t>No Shows - Avg 15%</t>
  </si>
  <si>
    <t>Onsite NextGen</t>
  </si>
  <si>
    <t>Photographer</t>
  </si>
  <si>
    <t>CTP Certificates</t>
  </si>
  <si>
    <t>N/A</t>
  </si>
  <si>
    <t>Onsite Students</t>
  </si>
  <si>
    <t>Signage</t>
  </si>
  <si>
    <t>CLE Certificates</t>
  </si>
  <si>
    <t>Printing</t>
  </si>
  <si>
    <t>CPE Certificates</t>
  </si>
  <si>
    <t>Less TMA Bucks/Gratis Registrations</t>
  </si>
  <si>
    <t>CC Processing Fee</t>
  </si>
  <si>
    <t>Inclement Weather</t>
  </si>
  <si>
    <t>Total Registration Revenue (Cash)</t>
  </si>
  <si>
    <t>Competing Event</t>
  </si>
  <si>
    <t>Misc/Gifts/Other (see notes)</t>
  </si>
  <si>
    <t>Membership Promo</t>
  </si>
  <si>
    <t>Registration Analysis</t>
  </si>
  <si>
    <t>Budget #</t>
  </si>
  <si>
    <t>Actual #</t>
  </si>
  <si>
    <t>Budget $</t>
  </si>
  <si>
    <t>Actual $</t>
  </si>
  <si>
    <t># of New Members</t>
  </si>
  <si>
    <t># Credit Cards</t>
  </si>
  <si>
    <t># Registered</t>
  </si>
  <si>
    <t># Checks</t>
  </si>
  <si>
    <t>Total Venue &amp; Admin</t>
  </si>
  <si>
    <t># Present</t>
  </si>
  <si>
    <t># TMA Bucks</t>
  </si>
  <si>
    <t># Charged For</t>
  </si>
  <si>
    <t># Gratis/Promo</t>
  </si>
  <si>
    <t>Attendee Cost/person</t>
  </si>
  <si>
    <t>Total Registrations</t>
  </si>
  <si>
    <t>Total Cost/person</t>
  </si>
  <si>
    <t>Notes:</t>
  </si>
  <si>
    <t>Reg %</t>
  </si>
  <si>
    <t>Pmt %</t>
  </si>
  <si>
    <t>Food/Beverage</t>
  </si>
  <si>
    <t>Titan Lunch (assumes 2 @ $100)</t>
  </si>
  <si>
    <t>Yes</t>
  </si>
  <si>
    <t>Cornell Club</t>
  </si>
  <si>
    <t>Networking Breakfast</t>
  </si>
  <si>
    <t>AV Costs include 4 microphones at $25 each for speakers/moderator, $200 for table platform riser for speaker table, $75 for podium with microphone.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</si>
</sst>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(* #,##0_);_(* \(#,##0\);_(* &quot;-&quot;??_);_(@_)"/>
    <numFmt numFmtId="165" formatCode="0.000%"/>
    <numFmt numFmtId="166" formatCode="_(* #,##0.00000_);_(* \(#,##0.000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3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6">
    <xf numFmtId="0" fontId="0" fillId="0" borderId="0" xfId="0"/>
    <xf numFmtId="0" fontId="2" fillId="0" borderId="0" xfId="0" applyFont="1" applyBorder="1"/>
    <xf numFmtId="0" fontId="0" fillId="0" borderId="0" xfId="0" applyFill="1" applyBorder="1"/>
    <xf numFmtId="0" fontId="2" fillId="0" borderId="0" xfId="0" applyFont="1"/>
    <xf numFmtId="14" fontId="0" fillId="0" borderId="0" xfId="1" applyNumberFormat="1" applyFont="1"/>
    <xf numFmtId="0" fontId="2" fillId="0" borderId="0" xfId="0" applyFont="1" applyFill="1" applyBorder="1"/>
    <xf numFmtId="0" fontId="3" fillId="0" borderId="0" xfId="1" applyNumberFormat="1" applyFont="1" applyFill="1" applyBorder="1" applyAlignment="1">
      <alignment horizontal="center"/>
    </xf>
    <xf numFmtId="14" fontId="0" fillId="0" borderId="0" xfId="1" applyNumberFormat="1" applyFont="1" applyFill="1" applyBorder="1"/>
    <xf numFmtId="0" fontId="0" fillId="0" borderId="0" xfId="0" applyBorder="1"/>
    <xf numFmtId="43" fontId="0" fillId="0" borderId="0" xfId="1" applyFont="1"/>
    <xf numFmtId="164" fontId="4" fillId="0" borderId="0" xfId="1" applyNumberFormat="1" applyFont="1" applyFill="1"/>
    <xf numFmtId="0" fontId="5" fillId="0" borderId="1" xfId="0" applyFont="1" applyBorder="1" applyAlignment="1">
      <alignment horizontal="right" indent="1"/>
    </xf>
    <xf numFmtId="0" fontId="3" fillId="0" borderId="2" xfId="1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/>
    <xf numFmtId="43" fontId="0" fillId="0" borderId="2" xfId="1" applyFont="1" applyBorder="1" applyAlignment="1">
      <alignment horizontal="center"/>
    </xf>
    <xf numFmtId="9" fontId="0" fillId="2" borderId="3" xfId="0" applyNumberFormat="1" applyFill="1" applyBorder="1" applyAlignment="1">
      <alignment horizontal="center"/>
    </xf>
    <xf numFmtId="0" fontId="2" fillId="0" borderId="4" xfId="0" applyFont="1" applyBorder="1" applyAlignment="1">
      <alignment horizontal="left" indent="1"/>
    </xf>
    <xf numFmtId="43" fontId="0" fillId="0" borderId="5" xfId="1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2" borderId="6" xfId="0" applyFill="1" applyBorder="1" applyAlignment="1">
      <alignment horizontal="center"/>
    </xf>
    <xf numFmtId="43" fontId="0" fillId="0" borderId="6" xfId="1" applyFont="1" applyBorder="1" applyAlignment="1">
      <alignment horizontal="center"/>
    </xf>
    <xf numFmtId="43" fontId="0" fillId="2" borderId="6" xfId="1" applyFont="1" applyFill="1" applyBorder="1" applyAlignment="1">
      <alignment horizontal="center"/>
    </xf>
    <xf numFmtId="0" fontId="0" fillId="0" borderId="4" xfId="0" applyBorder="1" applyAlignment="1">
      <alignment horizontal="left" indent="1"/>
    </xf>
    <xf numFmtId="2" fontId="6" fillId="0" borderId="0" xfId="1" applyNumberFormat="1" applyFont="1" applyBorder="1" applyAlignment="1">
      <alignment horizontal="center"/>
    </xf>
    <xf numFmtId="1" fontId="0" fillId="0" borderId="0" xfId="1" applyNumberFormat="1" applyFont="1" applyBorder="1" applyAlignment="1">
      <alignment horizontal="center"/>
    </xf>
    <xf numFmtId="43" fontId="0" fillId="2" borderId="7" xfId="1" applyFont="1" applyFill="1" applyBorder="1"/>
    <xf numFmtId="43" fontId="0" fillId="0" borderId="0" xfId="1" applyFont="1" applyBorder="1"/>
    <xf numFmtId="43" fontId="0" fillId="2" borderId="7" xfId="1" applyNumberFormat="1" applyFont="1" applyFill="1" applyBorder="1"/>
    <xf numFmtId="39" fontId="6" fillId="0" borderId="0" xfId="1" applyNumberFormat="1" applyFont="1" applyBorder="1" applyAlignment="1">
      <alignment horizontal="center"/>
    </xf>
    <xf numFmtId="43" fontId="0" fillId="0" borderId="7" xfId="1" applyFont="1" applyBorder="1"/>
    <xf numFmtId="43" fontId="0" fillId="0" borderId="0" xfId="0" applyNumberFormat="1" applyBorder="1"/>
    <xf numFmtId="43" fontId="0" fillId="2" borderId="7" xfId="0" applyNumberFormat="1" applyFill="1" applyBorder="1"/>
    <xf numFmtId="43" fontId="7" fillId="0" borderId="0" xfId="1" applyFont="1" applyBorder="1"/>
    <xf numFmtId="43" fontId="0" fillId="0" borderId="5" xfId="0" applyNumberFormat="1" applyBorder="1"/>
    <xf numFmtId="43" fontId="0" fillId="2" borderId="6" xfId="0" applyNumberFormat="1" applyFill="1" applyBorder="1"/>
    <xf numFmtId="43" fontId="0" fillId="0" borderId="7" xfId="0" applyNumberFormat="1" applyBorder="1"/>
    <xf numFmtId="165" fontId="0" fillId="0" borderId="0" xfId="1" applyNumberFormat="1" applyFont="1" applyBorder="1" applyAlignment="1">
      <alignment horizontal="center"/>
    </xf>
    <xf numFmtId="0" fontId="7" fillId="0" borderId="4" xfId="0" applyFont="1" applyBorder="1" applyAlignment="1">
      <alignment horizontal="left" indent="1"/>
    </xf>
    <xf numFmtId="10" fontId="0" fillId="0" borderId="0" xfId="1" applyNumberFormat="1" applyFont="1" applyBorder="1" applyAlignment="1">
      <alignment horizontal="center"/>
    </xf>
    <xf numFmtId="43" fontId="3" fillId="0" borderId="0" xfId="0" applyNumberFormat="1" applyFont="1" applyFill="1" applyBorder="1"/>
    <xf numFmtId="9" fontId="0" fillId="0" borderId="0" xfId="1" applyNumberFormat="1" applyFont="1" applyBorder="1" applyAlignment="1">
      <alignment horizontal="center"/>
    </xf>
    <xf numFmtId="0" fontId="0" fillId="0" borderId="8" xfId="0" applyBorder="1" applyAlignment="1">
      <alignment horizontal="left" indent="1"/>
    </xf>
    <xf numFmtId="43" fontId="0" fillId="0" borderId="9" xfId="0" applyNumberFormat="1" applyBorder="1"/>
    <xf numFmtId="43" fontId="0" fillId="2" borderId="10" xfId="0" applyNumberFormat="1" applyFill="1" applyBorder="1"/>
    <xf numFmtId="0" fontId="0" fillId="0" borderId="4" xfId="0" applyBorder="1" applyAlignment="1">
      <alignment horizontal="left" indent="2"/>
    </xf>
    <xf numFmtId="9" fontId="0" fillId="0" borderId="0" xfId="2" applyFont="1" applyBorder="1"/>
    <xf numFmtId="43" fontId="0" fillId="0" borderId="11" xfId="1" applyFont="1" applyBorder="1"/>
    <xf numFmtId="43" fontId="0" fillId="2" borderId="11" xfId="1" applyFont="1" applyFill="1" applyBorder="1"/>
    <xf numFmtId="43" fontId="0" fillId="0" borderId="0" xfId="0" applyNumberFormat="1"/>
    <xf numFmtId="166" fontId="0" fillId="0" borderId="7" xfId="1" applyNumberFormat="1" applyFont="1" applyBorder="1"/>
    <xf numFmtId="0" fontId="2" fillId="0" borderId="1" xfId="0" applyFont="1" applyBorder="1" applyAlignment="1">
      <alignment horizontal="left" indent="1"/>
    </xf>
    <xf numFmtId="0" fontId="0" fillId="0" borderId="12" xfId="0" applyBorder="1" applyAlignment="1">
      <alignment horizontal="center"/>
    </xf>
    <xf numFmtId="0" fontId="0" fillId="2" borderId="13" xfId="0" applyFill="1" applyBorder="1" applyAlignment="1">
      <alignment horizontal="center"/>
    </xf>
    <xf numFmtId="164" fontId="0" fillId="0" borderId="0" xfId="1" applyNumberFormat="1" applyFont="1" applyBorder="1"/>
    <xf numFmtId="9" fontId="0" fillId="0" borderId="0" xfId="0" applyNumberFormat="1" applyBorder="1" applyAlignment="1">
      <alignment horizontal="center"/>
    </xf>
    <xf numFmtId="0" fontId="0" fillId="2" borderId="7" xfId="0" applyFill="1" applyBorder="1"/>
    <xf numFmtId="0" fontId="0" fillId="0" borderId="0" xfId="0" applyBorder="1" applyAlignment="1">
      <alignment horizontal="center"/>
    </xf>
    <xf numFmtId="0" fontId="0" fillId="2" borderId="7" xfId="0" applyFill="1" applyBorder="1" applyAlignment="1">
      <alignment horizontal="center"/>
    </xf>
    <xf numFmtId="1" fontId="0" fillId="0" borderId="14" xfId="1" applyNumberFormat="1" applyFont="1" applyBorder="1" applyAlignment="1">
      <alignment horizontal="center"/>
    </xf>
    <xf numFmtId="43" fontId="0" fillId="2" borderId="6" xfId="1" applyFont="1" applyFill="1" applyBorder="1"/>
    <xf numFmtId="43" fontId="0" fillId="0" borderId="5" xfId="1" applyFont="1" applyBorder="1"/>
    <xf numFmtId="43" fontId="0" fillId="2" borderId="6" xfId="1" applyNumberFormat="1" applyFont="1" applyFill="1" applyBorder="1"/>
    <xf numFmtId="0" fontId="0" fillId="0" borderId="4" xfId="0" applyBorder="1" applyAlignment="1">
      <alignment horizontal="left" indent="3"/>
    </xf>
    <xf numFmtId="1" fontId="0" fillId="0" borderId="0" xfId="0" applyNumberFormat="1" applyAlignment="1">
      <alignment horizontal="center"/>
    </xf>
    <xf numFmtId="9" fontId="0" fillId="0" borderId="0" xfId="2" applyFont="1" applyBorder="1" applyAlignment="1">
      <alignment horizontal="center"/>
    </xf>
    <xf numFmtId="0" fontId="2" fillId="0" borderId="8" xfId="0" applyFont="1" applyBorder="1" applyAlignment="1">
      <alignment horizontal="left" indent="1"/>
    </xf>
    <xf numFmtId="43" fontId="0" fillId="0" borderId="15" xfId="1" applyFont="1" applyBorder="1"/>
    <xf numFmtId="1" fontId="0" fillId="0" borderId="16" xfId="0" applyNumberFormat="1" applyBorder="1" applyAlignment="1">
      <alignment horizontal="center"/>
    </xf>
    <xf numFmtId="43" fontId="0" fillId="0" borderId="16" xfId="1" applyFont="1" applyBorder="1"/>
    <xf numFmtId="43" fontId="0" fillId="2" borderId="10" xfId="1" applyNumberFormat="1" applyFont="1" applyFill="1" applyBorder="1"/>
    <xf numFmtId="0" fontId="2" fillId="0" borderId="17" xfId="0" applyFont="1" applyBorder="1" applyAlignment="1">
      <alignment horizontal="left" indent="1"/>
    </xf>
    <xf numFmtId="43" fontId="0" fillId="0" borderId="17" xfId="1" applyFont="1" applyBorder="1"/>
    <xf numFmtId="1" fontId="0" fillId="0" borderId="17" xfId="0" applyNumberFormat="1" applyBorder="1" applyAlignment="1">
      <alignment horizontal="center"/>
    </xf>
    <xf numFmtId="43" fontId="0" fillId="2" borderId="17" xfId="0" applyNumberFormat="1" applyFill="1" applyBorder="1"/>
    <xf numFmtId="43" fontId="0" fillId="2" borderId="17" xfId="1" applyNumberFormat="1" applyFont="1" applyFill="1" applyBorder="1"/>
    <xf numFmtId="43" fontId="0" fillId="0" borderId="2" xfId="1" applyFont="1" applyBorder="1"/>
    <xf numFmtId="1" fontId="0" fillId="0" borderId="18" xfId="0" applyNumberFormat="1" applyBorder="1" applyAlignment="1">
      <alignment horizontal="center"/>
    </xf>
    <xf numFmtId="43" fontId="0" fillId="2" borderId="13" xfId="0" applyNumberFormat="1" applyFill="1" applyBorder="1" applyAlignment="1">
      <alignment horizontal="center"/>
    </xf>
    <xf numFmtId="43" fontId="0" fillId="0" borderId="18" xfId="1" applyFont="1" applyBorder="1" applyAlignment="1">
      <alignment horizontal="center"/>
    </xf>
    <xf numFmtId="43" fontId="0" fillId="2" borderId="13" xfId="1" applyNumberFormat="1" applyFont="1" applyFill="1" applyBorder="1" applyAlignment="1">
      <alignment horizontal="center"/>
    </xf>
    <xf numFmtId="0" fontId="0" fillId="0" borderId="4" xfId="0" applyFill="1" applyBorder="1" applyAlignment="1">
      <alignment horizontal="left" indent="1"/>
    </xf>
    <xf numFmtId="43" fontId="0" fillId="0" borderId="19" xfId="1" applyFont="1" applyBorder="1"/>
    <xf numFmtId="43" fontId="0" fillId="2" borderId="19" xfId="1" applyFont="1" applyFill="1" applyBorder="1"/>
    <xf numFmtId="1" fontId="8" fillId="0" borderId="0" xfId="1" applyNumberFormat="1" applyFont="1" applyBorder="1" applyAlignment="1">
      <alignment horizontal="center"/>
    </xf>
    <xf numFmtId="0" fontId="0" fillId="0" borderId="4" xfId="0" applyBorder="1"/>
    <xf numFmtId="1" fontId="8" fillId="0" borderId="14" xfId="1" applyNumberFormat="1" applyFont="1" applyBorder="1" applyAlignment="1">
      <alignment horizontal="center"/>
    </xf>
    <xf numFmtId="1" fontId="0" fillId="0" borderId="15" xfId="0" applyNumberFormat="1" applyBorder="1" applyAlignment="1">
      <alignment horizontal="center"/>
    </xf>
    <xf numFmtId="43" fontId="0" fillId="0" borderId="20" xfId="1" applyFont="1" applyBorder="1"/>
    <xf numFmtId="43" fontId="0" fillId="2" borderId="20" xfId="1" applyFont="1" applyFill="1" applyBorder="1"/>
    <xf numFmtId="0" fontId="0" fillId="0" borderId="15" xfId="0" applyBorder="1" applyAlignment="1">
      <alignment horizontal="center"/>
    </xf>
    <xf numFmtId="0" fontId="0" fillId="2" borderId="20" xfId="0" applyFill="1" applyBorder="1"/>
    <xf numFmtId="0" fontId="0" fillId="0" borderId="0" xfId="0" applyFill="1" applyBorder="1" applyAlignment="1">
      <alignment horizontal="left" indent="1"/>
    </xf>
    <xf numFmtId="43" fontId="6" fillId="0" borderId="0" xfId="1" applyFont="1"/>
    <xf numFmtId="0" fontId="6" fillId="0" borderId="0" xfId="0" applyFont="1"/>
    <xf numFmtId="43" fontId="6" fillId="0" borderId="0" xfId="0" applyNumberFormat="1" applyFont="1"/>
    <xf numFmtId="0" fontId="0" fillId="0" borderId="0" xfId="0" applyFont="1" applyBorder="1"/>
    <xf numFmtId="0" fontId="0" fillId="3" borderId="0" xfId="0" applyFill="1" applyAlignment="1">
      <alignment horizontal="center"/>
    </xf>
    <xf numFmtId="9" fontId="0" fillId="3" borderId="0" xfId="0" applyNumberFormat="1" applyFill="1"/>
    <xf numFmtId="43" fontId="6" fillId="0" borderId="7" xfId="1" applyFont="1" applyBorder="1"/>
    <xf numFmtId="0" fontId="6" fillId="0" borderId="4" xfId="0" applyFont="1" applyBorder="1" applyAlignment="1">
      <alignment horizontal="left" indent="1"/>
    </xf>
    <xf numFmtId="1" fontId="6" fillId="0" borderId="0" xfId="1" applyNumberFormat="1" applyFont="1" applyBorder="1" applyAlignment="1">
      <alignment horizontal="center"/>
    </xf>
    <xf numFmtId="9" fontId="0" fillId="3" borderId="5" xfId="0" applyNumberFormat="1" applyFill="1" applyBorder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turnaround.org/Users/LEVYD/AppData/Local/Microsoft/Windows/Temporary%20Internet%20Files/Content.Outlook/1NQQ1SAU/Event%20Financial%20Template%20v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MA New Year 1-5-12"/>
      <sheetName val="TMA Altman 1-24-12"/>
      <sheetName val="TMA NextGen 2-2-12"/>
      <sheetName val="TMA Women's 2-15-12"/>
      <sheetName val="Blank Template"/>
      <sheetName val="Data"/>
    </sheetNames>
    <sheetDataSet>
      <sheetData sheetId="0"/>
      <sheetData sheetId="1"/>
      <sheetData sheetId="2"/>
      <sheetData sheetId="3"/>
      <sheetData sheetId="4"/>
      <sheetData sheetId="5">
        <row r="2">
          <cell r="M2">
            <v>0.96</v>
          </cell>
        </row>
        <row r="3">
          <cell r="M3">
            <v>0.04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1:Q38"/>
  <sheetViews>
    <sheetView tabSelected="1" zoomScale="90" zoomScaleNormal="90" workbookViewId="0">
      <selection activeCell="E2" sqref="E2"/>
    </sheetView>
  </sheetViews>
  <sheetFormatPr defaultRowHeight="15" x14ac:dyDescent="0.25"/>
  <cols>
    <col min="1" max="1" width="28.7109375" customWidth="1"/>
    <col min="2" max="2" width="9.7109375" style="9" customWidth="1"/>
    <col min="3" max="3" width="11.140625" customWidth="1"/>
    <col min="4" max="4" width="9.42578125" customWidth="1"/>
    <col min="5" max="5" width="10.5703125" bestFit="1" customWidth="1"/>
    <col min="6" max="6" width="10" bestFit="1" customWidth="1"/>
    <col min="7" max="7" width="1.7109375" customWidth="1"/>
    <col min="8" max="8" width="20" customWidth="1"/>
    <col min="9" max="9" width="11.140625" style="9" customWidth="1"/>
    <col min="10" max="11" width="11.42578125" customWidth="1"/>
    <col min="12" max="12" width="1.7109375" customWidth="1"/>
    <col min="13" max="13" width="20.28515625" customWidth="1"/>
    <col min="14" max="14" width="11.5703125" customWidth="1"/>
    <col min="15" max="15" width="10.5703125" bestFit="1" customWidth="1"/>
    <col min="16" max="16" width="3.7109375" customWidth="1"/>
    <col min="17" max="17" width="9.140625" customWidth="1"/>
  </cols>
  <sheetData>
    <row r="1" spans="1:17" x14ac:dyDescent="0.25">
      <c r="A1" s="1" t="s">
        <v>0</v>
      </c>
      <c r="B1" s="2" t="s">
        <v>1</v>
      </c>
      <c r="C1" s="2"/>
      <c r="D1" s="2"/>
      <c r="E1" s="2"/>
      <c r="F1" s="2"/>
      <c r="G1" s="2"/>
      <c r="H1" s="3" t="s">
        <v>2</v>
      </c>
      <c r="I1" s="4">
        <v>41051</v>
      </c>
      <c r="K1" s="5"/>
      <c r="L1" s="2"/>
      <c r="M1" s="3" t="s">
        <v>3</v>
      </c>
      <c r="N1" s="6">
        <v>75</v>
      </c>
      <c r="O1" s="2"/>
    </row>
    <row r="2" spans="1:17" x14ac:dyDescent="0.25">
      <c r="A2" s="1" t="s">
        <v>4</v>
      </c>
      <c r="B2" s="7" t="s">
        <v>83</v>
      </c>
      <c r="C2" s="8"/>
      <c r="D2" s="8"/>
      <c r="E2" s="8"/>
      <c r="F2" s="8"/>
      <c r="G2" s="8"/>
      <c r="H2" s="3" t="s">
        <v>5</v>
      </c>
      <c r="I2" s="9" t="s">
        <v>84</v>
      </c>
      <c r="L2" s="8"/>
      <c r="O2" s="8"/>
    </row>
    <row r="3" spans="1:17" ht="12.75" customHeight="1" thickBot="1" x14ac:dyDescent="0.3">
      <c r="B3" s="10"/>
      <c r="I3"/>
    </row>
    <row r="4" spans="1:17" x14ac:dyDescent="0.25">
      <c r="A4" s="11" t="s">
        <v>6</v>
      </c>
      <c r="B4" s="12">
        <v>92</v>
      </c>
      <c r="C4" s="13" t="s">
        <v>7</v>
      </c>
      <c r="D4" s="14" t="s">
        <v>8</v>
      </c>
      <c r="E4" s="13" t="s">
        <v>7</v>
      </c>
      <c r="F4" s="14" t="s">
        <v>8</v>
      </c>
      <c r="H4" s="11" t="s">
        <v>9</v>
      </c>
      <c r="I4" s="15">
        <v>92</v>
      </c>
      <c r="J4" s="16" t="s">
        <v>7</v>
      </c>
      <c r="K4" s="14" t="s">
        <v>8</v>
      </c>
      <c r="M4" s="17"/>
      <c r="N4" s="18" t="s">
        <v>7</v>
      </c>
      <c r="O4" s="19" t="s">
        <v>8</v>
      </c>
    </row>
    <row r="5" spans="1:17" x14ac:dyDescent="0.25">
      <c r="A5" s="20" t="s">
        <v>10</v>
      </c>
      <c r="B5" s="21" t="s">
        <v>11</v>
      </c>
      <c r="C5" s="22" t="s">
        <v>12</v>
      </c>
      <c r="D5" s="23" t="s">
        <v>12</v>
      </c>
      <c r="E5" s="22" t="s">
        <v>13</v>
      </c>
      <c r="F5" s="23" t="s">
        <v>13</v>
      </c>
      <c r="H5" s="20" t="s">
        <v>14</v>
      </c>
      <c r="I5" s="21" t="s">
        <v>15</v>
      </c>
      <c r="J5" s="24" t="s">
        <v>13</v>
      </c>
      <c r="K5" s="25" t="s">
        <v>13</v>
      </c>
      <c r="M5" s="20" t="s">
        <v>16</v>
      </c>
      <c r="N5" s="21" t="s">
        <v>13</v>
      </c>
      <c r="O5" s="25" t="s">
        <v>13</v>
      </c>
      <c r="Q5" s="100" t="s">
        <v>78</v>
      </c>
    </row>
    <row r="6" spans="1:17" x14ac:dyDescent="0.25">
      <c r="A6" s="26" t="s">
        <v>17</v>
      </c>
      <c r="B6" s="27">
        <v>45</v>
      </c>
      <c r="C6" s="28">
        <v>35</v>
      </c>
      <c r="D6" s="29"/>
      <c r="E6" s="30">
        <f t="shared" ref="E6:E17" si="0">B6*C6</f>
        <v>1575</v>
      </c>
      <c r="F6" s="31">
        <f>D6*B6</f>
        <v>0</v>
      </c>
      <c r="H6" s="26" t="s">
        <v>80</v>
      </c>
      <c r="I6" s="32">
        <v>30</v>
      </c>
      <c r="J6" s="33">
        <f>$I$6*I4</f>
        <v>2760</v>
      </c>
      <c r="K6" s="29"/>
      <c r="M6" s="26" t="s">
        <v>18</v>
      </c>
      <c r="N6" s="34">
        <f>E21</f>
        <v>5105</v>
      </c>
      <c r="O6" s="35">
        <f>F21</f>
        <v>0</v>
      </c>
      <c r="Q6" s="101">
        <v>0.25</v>
      </c>
    </row>
    <row r="7" spans="1:17" x14ac:dyDescent="0.25">
      <c r="A7" s="26" t="s">
        <v>19</v>
      </c>
      <c r="B7" s="27">
        <v>60</v>
      </c>
      <c r="C7" s="28">
        <f t="shared" ref="C7" si="1">ROUNDDOWN(($B$4*Q7),0)</f>
        <v>27</v>
      </c>
      <c r="D7" s="29"/>
      <c r="E7" s="36">
        <f t="shared" si="0"/>
        <v>1620</v>
      </c>
      <c r="F7" s="31">
        <f t="shared" ref="F7:F17" si="2">D7*B7</f>
        <v>0</v>
      </c>
      <c r="H7" s="26" t="s">
        <v>20</v>
      </c>
      <c r="I7" s="32">
        <v>450</v>
      </c>
      <c r="J7" s="33">
        <f>$I$7</f>
        <v>450</v>
      </c>
      <c r="K7" s="29"/>
      <c r="M7" s="26" t="s">
        <v>21</v>
      </c>
      <c r="N7" s="37">
        <f>-J24</f>
        <v>-4892.4624999999996</v>
      </c>
      <c r="O7" s="38">
        <f>-K24</f>
        <v>0</v>
      </c>
      <c r="Q7" s="101">
        <v>0.3</v>
      </c>
    </row>
    <row r="8" spans="1:17" x14ac:dyDescent="0.25">
      <c r="A8" s="26" t="s">
        <v>22</v>
      </c>
      <c r="B8" s="27">
        <v>50</v>
      </c>
      <c r="C8" s="28">
        <v>0</v>
      </c>
      <c r="D8" s="29"/>
      <c r="E8" s="36">
        <f t="shared" si="0"/>
        <v>0</v>
      </c>
      <c r="F8" s="31">
        <f t="shared" si="2"/>
        <v>0</v>
      </c>
      <c r="H8" s="26" t="s">
        <v>23</v>
      </c>
      <c r="I8" s="32">
        <v>500</v>
      </c>
      <c r="J8" s="39">
        <f>$I$8</f>
        <v>500</v>
      </c>
      <c r="K8" s="29"/>
      <c r="M8" s="26" t="s">
        <v>24</v>
      </c>
      <c r="N8" s="34">
        <f>SUM(N6:N7)</f>
        <v>212.53750000000036</v>
      </c>
      <c r="O8" s="35">
        <f>SUM(O6:O7)</f>
        <v>0</v>
      </c>
      <c r="Q8" s="101">
        <v>0.15</v>
      </c>
    </row>
    <row r="9" spans="1:17" x14ac:dyDescent="0.25">
      <c r="A9" s="26" t="s">
        <v>25</v>
      </c>
      <c r="B9" s="27">
        <v>30</v>
      </c>
      <c r="C9" s="28">
        <f>ROUND(($B$4*Q9),0)</f>
        <v>0</v>
      </c>
      <c r="D9" s="29"/>
      <c r="E9" s="30">
        <f t="shared" si="0"/>
        <v>0</v>
      </c>
      <c r="F9" s="31">
        <f t="shared" si="2"/>
        <v>0</v>
      </c>
      <c r="H9" s="26" t="s">
        <v>26</v>
      </c>
      <c r="I9" s="32">
        <v>0</v>
      </c>
      <c r="J9" s="33">
        <f>$I$9*I4</f>
        <v>0</v>
      </c>
      <c r="K9" s="29"/>
      <c r="M9" s="26"/>
      <c r="N9" s="34"/>
      <c r="O9" s="35"/>
      <c r="Q9" s="101">
        <v>0</v>
      </c>
    </row>
    <row r="10" spans="1:17" x14ac:dyDescent="0.25">
      <c r="A10" s="26" t="s">
        <v>27</v>
      </c>
      <c r="B10" s="27">
        <v>65</v>
      </c>
      <c r="C10" s="28">
        <v>16</v>
      </c>
      <c r="D10" s="29"/>
      <c r="E10" s="30">
        <f t="shared" si="0"/>
        <v>1040</v>
      </c>
      <c r="F10" s="31">
        <f t="shared" si="2"/>
        <v>0</v>
      </c>
      <c r="H10" s="26" t="s">
        <v>28</v>
      </c>
      <c r="I10" s="40">
        <v>8.8749999999999996E-2</v>
      </c>
      <c r="J10" s="33">
        <f>(J6+J7+J8)*$I$10</f>
        <v>329.26249999999999</v>
      </c>
      <c r="K10" s="29"/>
      <c r="M10" s="41" t="s">
        <v>29</v>
      </c>
      <c r="N10" s="34">
        <f>-E26</f>
        <v>0</v>
      </c>
      <c r="O10" s="35"/>
      <c r="Q10" s="101">
        <v>0.15</v>
      </c>
    </row>
    <row r="11" spans="1:17" x14ac:dyDescent="0.25">
      <c r="A11" s="26" t="s">
        <v>30</v>
      </c>
      <c r="B11" s="27">
        <v>80</v>
      </c>
      <c r="C11" s="28">
        <f t="shared" ref="C11:C17" si="3">ROUND(($B$4*Q11),0)</f>
        <v>9</v>
      </c>
      <c r="D11" s="29"/>
      <c r="E11" s="30">
        <f t="shared" si="0"/>
        <v>720</v>
      </c>
      <c r="F11" s="31">
        <f t="shared" si="2"/>
        <v>0</v>
      </c>
      <c r="H11" s="26" t="s">
        <v>31</v>
      </c>
      <c r="I11" s="42">
        <v>0</v>
      </c>
      <c r="J11" s="33">
        <f>J9*$I$11</f>
        <v>0</v>
      </c>
      <c r="K11" s="29"/>
      <c r="M11" s="26" t="s">
        <v>32</v>
      </c>
      <c r="N11" s="43">
        <v>1000</v>
      </c>
      <c r="O11" s="38"/>
      <c r="Q11" s="101">
        <v>0.1</v>
      </c>
    </row>
    <row r="12" spans="1:17" ht="15.75" thickBot="1" x14ac:dyDescent="0.3">
      <c r="A12" s="26" t="s">
        <v>33</v>
      </c>
      <c r="B12" s="27">
        <v>65</v>
      </c>
      <c r="C12" s="28">
        <f t="shared" si="3"/>
        <v>0</v>
      </c>
      <c r="D12" s="29"/>
      <c r="E12" s="30">
        <f t="shared" si="0"/>
        <v>0</v>
      </c>
      <c r="F12" s="31">
        <f t="shared" si="2"/>
        <v>0</v>
      </c>
      <c r="H12" s="26" t="s">
        <v>34</v>
      </c>
      <c r="I12" s="44">
        <v>0.18</v>
      </c>
      <c r="J12" s="33">
        <f>J6*$I$12</f>
        <v>496.79999999999995</v>
      </c>
      <c r="K12" s="29"/>
      <c r="M12" s="45" t="s">
        <v>35</v>
      </c>
      <c r="N12" s="46">
        <f>SUM(N8:N11)</f>
        <v>1212.5375000000004</v>
      </c>
      <c r="O12" s="47">
        <f>SUM(O8:O11)</f>
        <v>0</v>
      </c>
      <c r="Q12" s="101">
        <v>0</v>
      </c>
    </row>
    <row r="13" spans="1:17" ht="15.75" thickBot="1" x14ac:dyDescent="0.3">
      <c r="A13" s="26" t="s">
        <v>36</v>
      </c>
      <c r="B13" s="27">
        <v>50</v>
      </c>
      <c r="C13" s="28">
        <f t="shared" si="3"/>
        <v>0</v>
      </c>
      <c r="D13" s="29"/>
      <c r="E13" s="30">
        <f t="shared" si="0"/>
        <v>0</v>
      </c>
      <c r="F13" s="31">
        <f t="shared" si="2"/>
        <v>0</v>
      </c>
      <c r="H13" s="48" t="s">
        <v>37</v>
      </c>
      <c r="I13" s="49"/>
      <c r="J13" s="50">
        <f>SUM(J6:J12)</f>
        <v>4536.0625</v>
      </c>
      <c r="K13" s="51">
        <f>SUM(K6:K12)</f>
        <v>0</v>
      </c>
      <c r="Q13" s="101">
        <v>0</v>
      </c>
    </row>
    <row r="14" spans="1:17" x14ac:dyDescent="0.25">
      <c r="A14" s="26" t="s">
        <v>38</v>
      </c>
      <c r="B14" s="27">
        <v>75</v>
      </c>
      <c r="C14" s="28">
        <f t="shared" si="3"/>
        <v>2</v>
      </c>
      <c r="D14" s="29"/>
      <c r="E14" s="30">
        <f t="shared" si="0"/>
        <v>150</v>
      </c>
      <c r="F14" s="31">
        <f t="shared" si="2"/>
        <v>0</v>
      </c>
      <c r="G14" s="52"/>
      <c r="H14" s="20" t="s">
        <v>39</v>
      </c>
      <c r="I14" s="30"/>
      <c r="J14" s="53"/>
      <c r="K14" s="29"/>
      <c r="L14" s="52"/>
      <c r="M14" s="54" t="s">
        <v>40</v>
      </c>
      <c r="N14" s="55" t="s">
        <v>7</v>
      </c>
      <c r="O14" s="56" t="s">
        <v>8</v>
      </c>
      <c r="Q14" s="101">
        <v>2.0100502512562814E-2</v>
      </c>
    </row>
    <row r="15" spans="1:17" x14ac:dyDescent="0.25">
      <c r="A15" s="26" t="s">
        <v>41</v>
      </c>
      <c r="B15" s="27">
        <v>90</v>
      </c>
      <c r="C15" s="28">
        <f t="shared" si="3"/>
        <v>3</v>
      </c>
      <c r="D15" s="29"/>
      <c r="E15" s="30">
        <f t="shared" si="0"/>
        <v>270</v>
      </c>
      <c r="F15" s="31">
        <f t="shared" si="2"/>
        <v>0</v>
      </c>
      <c r="H15" s="26" t="s">
        <v>42</v>
      </c>
      <c r="I15" s="57"/>
      <c r="J15" s="33">
        <v>0</v>
      </c>
      <c r="K15" s="29"/>
      <c r="M15" s="26" t="s">
        <v>43</v>
      </c>
      <c r="N15" s="58">
        <v>0.15</v>
      </c>
      <c r="O15" s="59"/>
      <c r="Q15" s="101">
        <v>0.03</v>
      </c>
    </row>
    <row r="16" spans="1:17" x14ac:dyDescent="0.25">
      <c r="A16" s="26" t="s">
        <v>44</v>
      </c>
      <c r="B16" s="27">
        <v>75</v>
      </c>
      <c r="C16" s="28">
        <f t="shared" si="3"/>
        <v>0</v>
      </c>
      <c r="D16" s="29"/>
      <c r="E16" s="30">
        <f t="shared" si="0"/>
        <v>0</v>
      </c>
      <c r="F16" s="31">
        <f t="shared" si="2"/>
        <v>0</v>
      </c>
      <c r="H16" s="26" t="s">
        <v>45</v>
      </c>
      <c r="I16" s="57"/>
      <c r="J16" s="33">
        <v>150</v>
      </c>
      <c r="K16" s="29"/>
      <c r="M16" s="26" t="s">
        <v>46</v>
      </c>
      <c r="N16" s="60"/>
      <c r="O16" s="61" t="s">
        <v>47</v>
      </c>
      <c r="Q16" s="101">
        <v>0</v>
      </c>
    </row>
    <row r="17" spans="1:17" x14ac:dyDescent="0.25">
      <c r="A17" s="26" t="s">
        <v>48</v>
      </c>
      <c r="B17" s="27">
        <v>50</v>
      </c>
      <c r="C17" s="62">
        <f t="shared" si="3"/>
        <v>0</v>
      </c>
      <c r="D17" s="63"/>
      <c r="E17" s="64">
        <f t="shared" si="0"/>
        <v>0</v>
      </c>
      <c r="F17" s="65">
        <f t="shared" si="2"/>
        <v>0</v>
      </c>
      <c r="H17" s="26" t="s">
        <v>49</v>
      </c>
      <c r="I17" s="57"/>
      <c r="J17" s="33">
        <v>0</v>
      </c>
      <c r="K17" s="29"/>
      <c r="M17" s="26" t="s">
        <v>50</v>
      </c>
      <c r="N17" s="60"/>
      <c r="O17" s="61" t="s">
        <v>47</v>
      </c>
      <c r="Q17" s="105">
        <v>0</v>
      </c>
    </row>
    <row r="18" spans="1:17" x14ac:dyDescent="0.25">
      <c r="A18" s="66" t="s">
        <v>37</v>
      </c>
      <c r="B18" s="30"/>
      <c r="C18" s="28">
        <f>(SUM(C6:C17))</f>
        <v>92</v>
      </c>
      <c r="D18" s="29">
        <f>SUM(D6:D17)</f>
        <v>0</v>
      </c>
      <c r="E18" s="30">
        <f>SUM(E6:E17)</f>
        <v>5375</v>
      </c>
      <c r="F18" s="29">
        <f>SUM(F6:F17)</f>
        <v>0</v>
      </c>
      <c r="H18" s="26" t="s">
        <v>51</v>
      </c>
      <c r="I18" s="57"/>
      <c r="J18" s="33">
        <v>0</v>
      </c>
      <c r="K18" s="29"/>
      <c r="M18" s="26" t="s">
        <v>52</v>
      </c>
      <c r="N18" s="60"/>
      <c r="O18" s="61" t="s">
        <v>47</v>
      </c>
      <c r="Q18" s="101">
        <f>SUM(Q6:Q17)</f>
        <v>1.0001005025125629</v>
      </c>
    </row>
    <row r="19" spans="1:17" x14ac:dyDescent="0.25">
      <c r="A19" s="103"/>
      <c r="B19" s="27"/>
      <c r="C19" s="104"/>
      <c r="D19" s="29"/>
      <c r="E19" s="30">
        <f>+B19*C19</f>
        <v>0</v>
      </c>
      <c r="F19" s="29"/>
      <c r="H19" s="26" t="s">
        <v>54</v>
      </c>
      <c r="I19" s="68">
        <v>0.04</v>
      </c>
      <c r="J19" s="33">
        <f>$I$19*$E$24</f>
        <v>206.4</v>
      </c>
      <c r="K19" s="29"/>
      <c r="M19" s="26" t="s">
        <v>55</v>
      </c>
      <c r="N19" s="60"/>
      <c r="O19" s="59"/>
      <c r="Q19" s="100" t="s">
        <v>79</v>
      </c>
    </row>
    <row r="20" spans="1:17" x14ac:dyDescent="0.25">
      <c r="A20" s="26" t="s">
        <v>53</v>
      </c>
      <c r="B20" s="30"/>
      <c r="C20" s="67">
        <f>-(C26+C27)</f>
        <v>-6</v>
      </c>
      <c r="D20" s="29"/>
      <c r="E20" s="30">
        <f>(E26+E27)</f>
        <v>-270</v>
      </c>
      <c r="F20" s="31"/>
      <c r="H20" s="26" t="s">
        <v>81</v>
      </c>
      <c r="I20" s="30"/>
      <c r="J20" s="102">
        <v>0</v>
      </c>
      <c r="K20" s="29"/>
      <c r="M20" s="26" t="s">
        <v>57</v>
      </c>
      <c r="N20" s="60"/>
      <c r="O20" s="59"/>
      <c r="Q20" s="101">
        <v>0.96</v>
      </c>
    </row>
    <row r="21" spans="1:17" ht="15.75" thickBot="1" x14ac:dyDescent="0.3">
      <c r="A21" s="69" t="s">
        <v>56</v>
      </c>
      <c r="B21" s="70"/>
      <c r="C21" s="71">
        <f>+C18+C20</f>
        <v>86</v>
      </c>
      <c r="D21" s="47">
        <f>SUM(D18:D20)</f>
        <v>0</v>
      </c>
      <c r="E21" s="72">
        <f>SUM(E18:E20)</f>
        <v>5105</v>
      </c>
      <c r="F21" s="73">
        <f>SUM(F18:F20)</f>
        <v>0</v>
      </c>
      <c r="H21" s="26" t="s">
        <v>58</v>
      </c>
      <c r="I21" s="30"/>
      <c r="J21" s="102">
        <v>0</v>
      </c>
      <c r="K21" s="29"/>
      <c r="M21" s="26" t="s">
        <v>59</v>
      </c>
      <c r="N21" s="60" t="s">
        <v>82</v>
      </c>
      <c r="O21" s="29"/>
      <c r="Q21" s="101">
        <v>0.04</v>
      </c>
    </row>
    <row r="22" spans="1:17" ht="15.75" thickBot="1" x14ac:dyDescent="0.3">
      <c r="A22" s="74"/>
      <c r="B22" s="75"/>
      <c r="C22" s="76"/>
      <c r="D22" s="77"/>
      <c r="E22" s="75"/>
      <c r="F22" s="78"/>
      <c r="H22" s="48" t="s">
        <v>37</v>
      </c>
      <c r="I22" s="30"/>
      <c r="J22" s="50">
        <f>SUM(J15:J21)</f>
        <v>356.4</v>
      </c>
      <c r="K22" s="51">
        <f>SUM(K15:K21)</f>
        <v>0</v>
      </c>
      <c r="M22" s="26" t="s">
        <v>65</v>
      </c>
      <c r="N22" s="60">
        <v>10</v>
      </c>
      <c r="O22" s="29"/>
    </row>
    <row r="23" spans="1:17" x14ac:dyDescent="0.25">
      <c r="A23" s="54" t="s">
        <v>60</v>
      </c>
      <c r="B23" s="79"/>
      <c r="C23" s="80" t="s">
        <v>61</v>
      </c>
      <c r="D23" s="81" t="s">
        <v>62</v>
      </c>
      <c r="E23" s="82" t="s">
        <v>63</v>
      </c>
      <c r="F23" s="83" t="s">
        <v>64</v>
      </c>
      <c r="H23" s="48"/>
      <c r="I23" s="30"/>
      <c r="J23" s="33"/>
      <c r="K23" s="29"/>
      <c r="M23" s="26" t="s">
        <v>67</v>
      </c>
      <c r="N23" s="60"/>
      <c r="O23" s="29"/>
    </row>
    <row r="24" spans="1:17" x14ac:dyDescent="0.25">
      <c r="A24" s="84" t="s">
        <v>66</v>
      </c>
      <c r="B24" s="30"/>
      <c r="C24" s="28">
        <f>ROUND(($C$21*Q20),0)</f>
        <v>83</v>
      </c>
      <c r="D24" s="29"/>
      <c r="E24" s="30">
        <f>ROUNDUP((($E$18*[1]Data!$M$2)),0)</f>
        <v>5160</v>
      </c>
      <c r="F24" s="31"/>
      <c r="H24" s="20" t="s">
        <v>69</v>
      </c>
      <c r="I24" s="30"/>
      <c r="J24" s="85">
        <f>J13+J22</f>
        <v>4892.4624999999996</v>
      </c>
      <c r="K24" s="86">
        <f>K13+K22</f>
        <v>0</v>
      </c>
      <c r="M24" s="26" t="s">
        <v>70</v>
      </c>
      <c r="N24" s="60"/>
      <c r="O24" s="29"/>
    </row>
    <row r="25" spans="1:17" x14ac:dyDescent="0.25">
      <c r="A25" s="84" t="s">
        <v>68</v>
      </c>
      <c r="B25" s="30"/>
      <c r="C25" s="28">
        <f>ROUND(($C$21*Q21),0)</f>
        <v>3</v>
      </c>
      <c r="D25" s="29"/>
      <c r="E25" s="30">
        <f>ROUNDDOWN((($E$18*[1]Data!$M$3)),0)</f>
        <v>215</v>
      </c>
      <c r="F25" s="31"/>
      <c r="H25" s="88"/>
      <c r="I25" s="30"/>
      <c r="J25" s="33"/>
      <c r="K25" s="29"/>
      <c r="M25" s="26" t="s">
        <v>72</v>
      </c>
      <c r="N25" s="60"/>
      <c r="O25" s="59"/>
    </row>
    <row r="26" spans="1:17" x14ac:dyDescent="0.25">
      <c r="A26" s="84" t="s">
        <v>71</v>
      </c>
      <c r="B26" s="30"/>
      <c r="C26" s="87">
        <v>0</v>
      </c>
      <c r="D26" s="29"/>
      <c r="E26" s="30">
        <f>-C26*B6</f>
        <v>0</v>
      </c>
      <c r="F26" s="31"/>
      <c r="H26" s="26" t="s">
        <v>74</v>
      </c>
      <c r="I26" s="30"/>
      <c r="J26" s="33">
        <f>J13/I4</f>
        <v>49.305027173913047</v>
      </c>
      <c r="K26" s="29"/>
      <c r="M26" s="26"/>
      <c r="N26" s="60"/>
      <c r="O26" s="59"/>
    </row>
    <row r="27" spans="1:17" ht="15.75" thickBot="1" x14ac:dyDescent="0.3">
      <c r="A27" s="84" t="s">
        <v>73</v>
      </c>
      <c r="B27" s="30"/>
      <c r="C27" s="89">
        <v>6</v>
      </c>
      <c r="D27" s="29"/>
      <c r="E27" s="30">
        <f>-C27*B6</f>
        <v>-270</v>
      </c>
      <c r="F27" s="31"/>
      <c r="H27" s="45" t="s">
        <v>76</v>
      </c>
      <c r="I27" s="70"/>
      <c r="J27" s="91">
        <f>J24/I4</f>
        <v>53.1789402173913</v>
      </c>
      <c r="K27" s="92"/>
      <c r="M27" s="45"/>
      <c r="N27" s="93"/>
      <c r="O27" s="94"/>
    </row>
    <row r="28" spans="1:17" ht="15.75" thickBot="1" x14ac:dyDescent="0.3">
      <c r="A28" s="69" t="s">
        <v>75</v>
      </c>
      <c r="B28" s="70"/>
      <c r="C28" s="90">
        <f>ROUNDDOWN((SUM(C24:C27)),0)</f>
        <v>92</v>
      </c>
      <c r="D28" s="47">
        <f>SUM(D24:D27)</f>
        <v>0</v>
      </c>
      <c r="E28" s="72">
        <f>SUM(E24:E27)</f>
        <v>5105</v>
      </c>
      <c r="F28" s="73">
        <f>SUM(F24:F27)</f>
        <v>0</v>
      </c>
    </row>
    <row r="29" spans="1:17" x14ac:dyDescent="0.25">
      <c r="A29" s="3" t="s">
        <v>77</v>
      </c>
    </row>
    <row r="30" spans="1:17" x14ac:dyDescent="0.25">
      <c r="A30" s="95" t="s">
        <v>85</v>
      </c>
      <c r="J30" s="9"/>
      <c r="K30" s="9"/>
    </row>
    <row r="31" spans="1:17" x14ac:dyDescent="0.25">
      <c r="A31" s="95"/>
      <c r="H31" s="99"/>
      <c r="J31" s="9"/>
      <c r="K31" s="9"/>
    </row>
    <row r="32" spans="1:17" x14ac:dyDescent="0.25">
      <c r="B32" s="96"/>
      <c r="C32" s="97"/>
      <c r="D32" s="97"/>
      <c r="E32" s="98"/>
      <c r="J32" s="9"/>
      <c r="K32" s="9"/>
    </row>
    <row r="33" spans="10:11" x14ac:dyDescent="0.25">
      <c r="J33" s="9"/>
      <c r="K33" s="9"/>
    </row>
    <row r="34" spans="10:11" x14ac:dyDescent="0.25">
      <c r="J34" s="9"/>
      <c r="K34" s="9"/>
    </row>
    <row r="35" spans="10:11" x14ac:dyDescent="0.25">
      <c r="J35" s="9"/>
      <c r="K35" s="9"/>
    </row>
    <row r="36" spans="10:11" x14ac:dyDescent="0.25">
      <c r="J36" s="9"/>
      <c r="K36" s="9"/>
    </row>
    <row r="37" spans="10:11" x14ac:dyDescent="0.25">
      <c r="J37" s="9"/>
      <c r="K37" s="9"/>
    </row>
    <row r="38" spans="10:11" x14ac:dyDescent="0.25">
      <c r="J38" s="9"/>
      <c r="K38" s="9"/>
    </row>
  </sheetData>
  <dataValidations count="1">
    <dataValidation type="whole" allowBlank="1" showInputMessage="1" showErrorMessage="1" errorTitle="Attendee Cost" error="Number must be equal to or greater than minimum guarantee!" promptTitle="Attendee Cost" prompt="Enter minimum guarantee or greater." sqref="I4">
      <formula1>N1</formula1>
      <formula2>1000</formula2>
    </dataValidation>
  </dataValidations>
  <pageMargins left="0.7" right="0.7" top="1" bottom="0.75" header="0.55000000000000004" footer="0.3"/>
  <pageSetup scale="70" orientation="landscape" r:id="rId1"/>
  <headerFooter>
    <oddHeader>&amp;L&amp;"-,Bold"TMA NY 2012 Event Summary</oddHeader>
    <oddFooter>&amp;L&amp;D &amp;T&amp;RPage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TMA NextGen 2-2-12</vt:lpstr>
      <vt:lpstr>'TMA NextGen 2-2-12'!Print_Area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Teresa Kohl</dc:creator>
  <cp:lastModifiedBy>Maura Sage</cp:lastModifiedBy>
  <cp:lastPrinted>2012-01-04T16:00:13Z</cp:lastPrinted>
  <dcterms:created xsi:type="dcterms:W3CDTF">2012-01-04T15:54:25Z</dcterms:created>
  <dcterms:modified xsi:type="dcterms:W3CDTF">2015-08-26T18:25:41Z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ileName">
    <vt:lpwstr/>
  </property>
</Properties>
</file>